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to\Documents\ALBERTO\UNIVERSIDAD\OPERACIONES II\Apunte\"/>
    </mc:Choice>
  </mc:AlternateContent>
  <bookViews>
    <workbookView xWindow="0" yWindow="0" windowWidth="20490" windowHeight="7530" xr2:uid="{D7C42B8F-9E39-44F9-A280-38FD279912C0}"/>
  </bookViews>
  <sheets>
    <sheet name="Datos" sheetId="1" r:id="rId1"/>
    <sheet name="Cálculos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B13" i="2" s="1"/>
  <c r="D195" i="2" l="1"/>
  <c r="D193" i="2"/>
  <c r="D190" i="2"/>
  <c r="D188" i="2"/>
  <c r="J67" i="2"/>
  <c r="B69" i="2"/>
  <c r="B61" i="2"/>
  <c r="B109" i="2" l="1"/>
  <c r="G21" i="2" l="1"/>
  <c r="G19" i="2"/>
  <c r="C17" i="2"/>
  <c r="F10" i="1"/>
  <c r="B12" i="1"/>
  <c r="B76" i="2" l="1"/>
  <c r="B162" i="2" s="1"/>
  <c r="B164" i="2" s="1"/>
  <c r="C20" i="2" l="1"/>
  <c r="B132" i="2"/>
  <c r="B19" i="2" l="1"/>
  <c r="B27" i="2" s="1"/>
  <c r="B57" i="2" s="1"/>
  <c r="B63" i="2" l="1"/>
  <c r="B67" i="2" s="1"/>
  <c r="G61" i="2"/>
  <c r="B37" i="2"/>
  <c r="B81" i="2" s="1"/>
  <c r="B93" i="2" l="1"/>
  <c r="B134" i="2"/>
  <c r="B140" i="2" s="1"/>
  <c r="B120" i="2"/>
  <c r="B125" i="2" s="1"/>
  <c r="B127" i="2" s="1"/>
  <c r="D194" i="2" s="1"/>
  <c r="B48" i="2"/>
  <c r="D187" i="2" s="1"/>
  <c r="D189" i="2" s="1"/>
  <c r="D191" i="2" s="1"/>
  <c r="G63" i="2"/>
  <c r="I63" i="2" s="1"/>
  <c r="B168" i="2" l="1"/>
  <c r="B177" i="2" s="1"/>
  <c r="B181" i="2" s="1"/>
  <c r="G67" i="2"/>
  <c r="B71" i="2" s="1"/>
  <c r="B111" i="2" s="1"/>
  <c r="B113" i="2" s="1"/>
</calcChain>
</file>

<file path=xl/sharedStrings.xml><?xml version="1.0" encoding="utf-8"?>
<sst xmlns="http://schemas.openxmlformats.org/spreadsheetml/2006/main" count="158" uniqueCount="126">
  <si>
    <t>Cp</t>
  </si>
  <si>
    <t>Hidrocarburo de 48 °API</t>
  </si>
  <si>
    <t>Btu/(lb.°F)</t>
  </si>
  <si>
    <t>mu</t>
  </si>
  <si>
    <t>cP</t>
  </si>
  <si>
    <t>k</t>
  </si>
  <si>
    <t>Q servicio</t>
  </si>
  <si>
    <t>W</t>
  </si>
  <si>
    <t>lb/hr</t>
  </si>
  <si>
    <t>T entrada</t>
  </si>
  <si>
    <t>T salida</t>
  </si>
  <si>
    <t>°F</t>
  </si>
  <si>
    <t>Btu/hr</t>
  </si>
  <si>
    <t>FLUIDO CALIENTE</t>
  </si>
  <si>
    <t>AIRE</t>
  </si>
  <si>
    <t>t amb</t>
  </si>
  <si>
    <t>Cp air</t>
  </si>
  <si>
    <t>DATOS AEROENFRIADOR</t>
  </si>
  <si>
    <t>Tiro</t>
  </si>
  <si>
    <t>Forzado</t>
  </si>
  <si>
    <t>Tubos</t>
  </si>
  <si>
    <t>Aletados</t>
  </si>
  <si>
    <t>OD</t>
  </si>
  <si>
    <t>plg</t>
  </si>
  <si>
    <t>Hfin (5/8)</t>
  </si>
  <si>
    <t>Arreglo</t>
  </si>
  <si>
    <t>Triángulo</t>
  </si>
  <si>
    <t>Paso e/tubos</t>
  </si>
  <si>
    <t>Pasos x tubos</t>
  </si>
  <si>
    <t>Hileras de tubos</t>
  </si>
  <si>
    <t>Largo tubos</t>
  </si>
  <si>
    <t>ft</t>
  </si>
  <si>
    <t>Banco de tubos</t>
  </si>
  <si>
    <t>Ux esta basado en la superficie extendida</t>
  </si>
  <si>
    <t>1. Selección de coeficiente global de transferencia de calor (Ux)</t>
  </si>
  <si>
    <t>Ux</t>
  </si>
  <si>
    <t>2. tempeatura estimada salida de aire (t exit)</t>
  </si>
  <si>
    <t>t exit</t>
  </si>
  <si>
    <t>3. MLDT</t>
  </si>
  <si>
    <t>MLDT</t>
  </si>
  <si>
    <t>4. Area extendida requerida</t>
  </si>
  <si>
    <t>Delta ta</t>
  </si>
  <si>
    <t>Ax</t>
  </si>
  <si>
    <t>Fa</t>
  </si>
  <si>
    <t>APFS</t>
  </si>
  <si>
    <t>5. Calcula area proyectada, Fa (Face area) con area externa por ft2 de de area proyectada del banco de tubos (APSF)</t>
  </si>
  <si>
    <t>6. Calculo del ancho de la unidad con el largo supuesto</t>
  </si>
  <si>
    <t>Ancho</t>
  </si>
  <si>
    <t>7. Numero de tubos (Nt)</t>
  </si>
  <si>
    <t>APF</t>
  </si>
  <si>
    <t>area total externa por unidad de longitud de tubos aletado</t>
  </si>
  <si>
    <t>Nt</t>
  </si>
  <si>
    <t>tubos</t>
  </si>
  <si>
    <t>8. Calculo area flujo en los tubos</t>
  </si>
  <si>
    <t>At</t>
  </si>
  <si>
    <t>BWG</t>
  </si>
  <si>
    <t>ID</t>
  </si>
  <si>
    <t>plg^2</t>
  </si>
  <si>
    <t>ft^2</t>
  </si>
  <si>
    <t>Gt</t>
  </si>
  <si>
    <t>Np</t>
  </si>
  <si>
    <t>pt</t>
  </si>
  <si>
    <t>lb/(ft2.sec)</t>
  </si>
  <si>
    <t>9. Nro Reynolds</t>
  </si>
  <si>
    <t>Re</t>
  </si>
  <si>
    <t>Gt*ID/mu</t>
  </si>
  <si>
    <t>hi0</t>
  </si>
  <si>
    <t>12. Caudal de aire</t>
  </si>
  <si>
    <t>Wa</t>
  </si>
  <si>
    <t>13. Velocidad masica del aire en el area del banco (face velocity)</t>
  </si>
  <si>
    <t>Ga</t>
  </si>
  <si>
    <t>lb/(hr.ft2 area face)</t>
  </si>
  <si>
    <t>14. Coeficiente de película del aire</t>
  </si>
  <si>
    <t>ha</t>
  </si>
  <si>
    <t>Btu/hr.ft2.°F</t>
  </si>
  <si>
    <t>15. Recalculo de Ux</t>
  </si>
  <si>
    <t>Ax/Ai</t>
  </si>
  <si>
    <t>AR</t>
  </si>
  <si>
    <t>Relación de area superficie extendida/Area tubo desnudo</t>
  </si>
  <si>
    <t>Fig. 10-11</t>
  </si>
  <si>
    <t>Pr</t>
  </si>
  <si>
    <t>Cp*mu/k</t>
  </si>
  <si>
    <t>aft</t>
  </si>
  <si>
    <t>Btu/(hr.ft.°F)</t>
  </si>
  <si>
    <t>lb/hr.ft^2</t>
  </si>
  <si>
    <t>aft= a´*Nt/Np</t>
  </si>
  <si>
    <t>1/Ux</t>
  </si>
  <si>
    <t>rdt</t>
  </si>
  <si>
    <t>rmx</t>
  </si>
  <si>
    <t>Resistencia metal tubo (despreciable)</t>
  </si>
  <si>
    <t>Factor ensuciamiento dentro de los tubos</t>
  </si>
  <si>
    <t>Gt=Gt/3600</t>
  </si>
  <si>
    <t>16. Calculo area ventilador</t>
  </si>
  <si>
    <t>FAPF</t>
  </si>
  <si>
    <t>Nro. Ventiladores</t>
  </si>
  <si>
    <t>(supuesto)</t>
  </si>
  <si>
    <t>Diám. Ventilador</t>
  </si>
  <si>
    <t>Nvent.</t>
  </si>
  <si>
    <t>Dvent.</t>
  </si>
  <si>
    <t>valor redondeado</t>
  </si>
  <si>
    <t>17. Diámetro del ventilador</t>
  </si>
  <si>
    <t>18. Perdida de carga estática del aire</t>
  </si>
  <si>
    <t>t avg</t>
  </si>
  <si>
    <t>DeltaP_air</t>
  </si>
  <si>
    <t>Fp</t>
  </si>
  <si>
    <t>Dr</t>
  </si>
  <si>
    <t>Relación densidad del aire según nivel del mar</t>
  </si>
  <si>
    <t>plg de agua</t>
  </si>
  <si>
    <t>19. Volumen de aire que ingresa al ventilador</t>
  </si>
  <si>
    <t>ACFM</t>
  </si>
  <si>
    <t>ft^3/min</t>
  </si>
  <si>
    <t>por ventilador</t>
  </si>
  <si>
    <t>total</t>
  </si>
  <si>
    <t>PF</t>
  </si>
  <si>
    <t>21. Potencia aproximada por ventilador (70% de eficiencia)</t>
  </si>
  <si>
    <t>20. Perdida de carga total por ventilador (aprox)</t>
  </si>
  <si>
    <t>bhp</t>
  </si>
  <si>
    <t>Con una eficiencia del motor electrico del 90%</t>
  </si>
  <si>
    <t>Se selecciona la potencia nominal</t>
  </si>
  <si>
    <t>RESUMEN DE CALCULO Y DIMENSIONES</t>
  </si>
  <si>
    <t>Largo</t>
  </si>
  <si>
    <t>Area proyectada</t>
  </si>
  <si>
    <t>Area superficie extendida</t>
  </si>
  <si>
    <t>APSF</t>
  </si>
  <si>
    <t>Cantidad ventiladores</t>
  </si>
  <si>
    <t>Diametro ventilador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</si>
</sst>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NumberFormat="1"/>
    <xf numFmtId="165" fontId="0" fillId="2" borderId="0" xfId="0" applyNumberFormat="1" applyFill="1"/>
    <xf numFmtId="0" fontId="0" fillId="2" borderId="0" xfId="0" applyFill="1"/>
    <xf numFmtId="1" fontId="0" fillId="0" borderId="0" xfId="0" applyNumberFormat="1"/>
    <xf numFmtId="1" fontId="0" fillId="2" borderId="0" xfId="0" applyNumberFormat="1" applyFill="1"/>
    <xf numFmtId="164" fontId="0" fillId="2" borderId="0" xfId="0" applyNumberFormat="1" applyFill="1"/>
    <xf numFmtId="165" fontId="0" fillId="0" borderId="0" xfId="0" applyNumberFormat="1"/>
    <xf numFmtId="0" fontId="0" fillId="0" borderId="0" xfId="0" applyAlignment="1">
      <alignment horizontal="center"/>
    </xf>
    <xf numFmtId="2" fontId="0" fillId="2" borderId="0" xfId="0" applyNumberFormat="1" applyFill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Coeficiente</a:t>
            </a:r>
            <a:r>
              <a:rPr lang="es-AR" baseline="0"/>
              <a:t> de película del aire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7136482939632549E-2"/>
          <c:y val="0.17171296296296298"/>
          <c:w val="0.90286351706036749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208539266720538"/>
                  <c:y val="-5.448089822105572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</c:trendlineLbl>
          </c:trendline>
          <c:xVal>
            <c:numRef>
              <c:f>Cálculos!$A$87:$A$90</c:f>
              <c:numCache>
                <c:formatCode>General</c:formatCode>
                <c:ptCount val="4"/>
                <c:pt idx="0">
                  <c:v>1500</c:v>
                </c:pt>
                <c:pt idx="1">
                  <c:v>2000</c:v>
                </c:pt>
                <c:pt idx="2">
                  <c:v>3000</c:v>
                </c:pt>
                <c:pt idx="3">
                  <c:v>3400</c:v>
                </c:pt>
              </c:numCache>
            </c:numRef>
          </c:xVal>
          <c:yVal>
            <c:numRef>
              <c:f>Cálculos!$B$87:$B$90</c:f>
              <c:numCache>
                <c:formatCode>General</c:formatCode>
                <c:ptCount val="4"/>
                <c:pt idx="0">
                  <c:v>6.4</c:v>
                </c:pt>
                <c:pt idx="1">
                  <c:v>7.4</c:v>
                </c:pt>
                <c:pt idx="2">
                  <c:v>9.1999999999999993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4D-4CCB-B334-B2AF85DBD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358480"/>
        <c:axId val="421353560"/>
      </c:scatterChart>
      <c:valAx>
        <c:axId val="421358480"/>
        <c:scaling>
          <c:orientation val="minMax"/>
          <c:min val="1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21353560"/>
        <c:crosses val="autoZero"/>
        <c:crossBetween val="midCat"/>
      </c:valAx>
      <c:valAx>
        <c:axId val="421353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21358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Cálculos!$G$132</c:f>
              <c:strCache>
                <c:ptCount val="1"/>
                <c:pt idx="0">
                  <c:v>Fp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2872725284339458"/>
                  <c:y val="4.2129629629629626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</c:trendlineLbl>
          </c:trendline>
          <c:xVal>
            <c:numRef>
              <c:f>Cálculos!$F$133:$F$136</c:f>
              <c:numCache>
                <c:formatCode>General</c:formatCode>
                <c:ptCount val="4"/>
                <c:pt idx="0">
                  <c:v>500</c:v>
                </c:pt>
                <c:pt idx="1">
                  <c:v>2000</c:v>
                </c:pt>
                <c:pt idx="2">
                  <c:v>3000</c:v>
                </c:pt>
                <c:pt idx="3">
                  <c:v>3400</c:v>
                </c:pt>
              </c:numCache>
            </c:numRef>
          </c:xVal>
          <c:yVal>
            <c:numRef>
              <c:f>Cálculos!$G$133:$G$136</c:f>
              <c:numCache>
                <c:formatCode>General</c:formatCode>
                <c:ptCount val="4"/>
                <c:pt idx="0">
                  <c:v>3.5000000000000003E-2</c:v>
                </c:pt>
                <c:pt idx="1">
                  <c:v>6.8000000000000005E-2</c:v>
                </c:pt>
                <c:pt idx="2">
                  <c:v>0.13</c:v>
                </c:pt>
                <c:pt idx="3">
                  <c:v>0.16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6C-4377-ABA6-259728E91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071392"/>
        <c:axId val="437073360"/>
      </c:scatterChart>
      <c:valAx>
        <c:axId val="43707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7073360"/>
        <c:crosses val="autoZero"/>
        <c:crossBetween val="midCat"/>
      </c:valAx>
      <c:valAx>
        <c:axId val="43707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7071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2.emf"/><Relationship Id="rId18" Type="http://schemas.openxmlformats.org/officeDocument/2006/relationships/chart" Target="../charts/chart2.xml"/><Relationship Id="rId3" Type="http://schemas.openxmlformats.org/officeDocument/2006/relationships/image" Target="../media/image3.emf"/><Relationship Id="rId21" Type="http://schemas.openxmlformats.org/officeDocument/2006/relationships/image" Target="../media/image19.emf"/><Relationship Id="rId7" Type="http://schemas.openxmlformats.org/officeDocument/2006/relationships/image" Target="../media/image7.emf"/><Relationship Id="rId12" Type="http://schemas.openxmlformats.org/officeDocument/2006/relationships/chart" Target="../charts/chart1.xml"/><Relationship Id="rId17" Type="http://schemas.openxmlformats.org/officeDocument/2006/relationships/image" Target="../media/image16.emf"/><Relationship Id="rId2" Type="http://schemas.openxmlformats.org/officeDocument/2006/relationships/image" Target="../media/image2.emf"/><Relationship Id="rId16" Type="http://schemas.openxmlformats.org/officeDocument/2006/relationships/image" Target="../media/image15.emf"/><Relationship Id="rId20" Type="http://schemas.openxmlformats.org/officeDocument/2006/relationships/image" Target="../media/image18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4.emf"/><Relationship Id="rId23" Type="http://schemas.openxmlformats.org/officeDocument/2006/relationships/image" Target="../media/image21.emf"/><Relationship Id="rId10" Type="http://schemas.openxmlformats.org/officeDocument/2006/relationships/image" Target="../media/image10.emf"/><Relationship Id="rId19" Type="http://schemas.openxmlformats.org/officeDocument/2006/relationships/image" Target="../media/image17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3.emf"/><Relationship Id="rId22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</xdr:row>
      <xdr:rowOff>9525</xdr:rowOff>
    </xdr:from>
    <xdr:to>
      <xdr:col>12</xdr:col>
      <xdr:colOff>266700</xdr:colOff>
      <xdr:row>22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F3F72C-96DB-4C24-8086-022DB9165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200025"/>
          <a:ext cx="4067175" cy="400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8</xdr:row>
      <xdr:rowOff>9525</xdr:rowOff>
    </xdr:from>
    <xdr:to>
      <xdr:col>6</xdr:col>
      <xdr:colOff>0</xdr:colOff>
      <xdr:row>12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667734-D953-4C10-A50D-2056BE7E7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533525"/>
          <a:ext cx="22764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</xdr:colOff>
      <xdr:row>16</xdr:row>
      <xdr:rowOff>9525</xdr:rowOff>
    </xdr:from>
    <xdr:to>
      <xdr:col>6</xdr:col>
      <xdr:colOff>0</xdr:colOff>
      <xdr:row>23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8C0C2EF8-43C5-4AB7-9F38-B7FC9553DF20}"/>
            </a:ext>
          </a:extLst>
        </xdr:cNvPr>
        <xdr:cNvSpPr/>
      </xdr:nvSpPr>
      <xdr:spPr>
        <a:xfrm>
          <a:off x="2295525" y="3057525"/>
          <a:ext cx="2276475" cy="13239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38100</xdr:colOff>
      <xdr:row>16</xdr:row>
      <xdr:rowOff>171450</xdr:rowOff>
    </xdr:from>
    <xdr:to>
      <xdr:col>6</xdr:col>
      <xdr:colOff>0</xdr:colOff>
      <xdr:row>18</xdr:row>
      <xdr:rowOff>161925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F2163F97-9087-48DF-AE2D-F44AFE76CC51}"/>
            </a:ext>
          </a:extLst>
        </xdr:cNvPr>
        <xdr:cNvCxnSpPr/>
      </xdr:nvCxnSpPr>
      <xdr:spPr>
        <a:xfrm>
          <a:off x="2324100" y="3219450"/>
          <a:ext cx="2247900" cy="3714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19</xdr:row>
      <xdr:rowOff>100013</xdr:rowOff>
    </xdr:from>
    <xdr:to>
      <xdr:col>6</xdr:col>
      <xdr:colOff>19050</xdr:colOff>
      <xdr:row>20</xdr:row>
      <xdr:rowOff>171450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E774E69A-2E14-4099-819F-BFB319210441}"/>
            </a:ext>
          </a:extLst>
        </xdr:cNvPr>
        <xdr:cNvCxnSpPr>
          <a:endCxn id="4" idx="1"/>
        </xdr:cNvCxnSpPr>
      </xdr:nvCxnSpPr>
      <xdr:spPr>
        <a:xfrm flipH="1" flipV="1">
          <a:off x="2295525" y="3719513"/>
          <a:ext cx="2295525" cy="2619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9525</xdr:colOff>
      <xdr:row>25</xdr:row>
      <xdr:rowOff>9525</xdr:rowOff>
    </xdr:from>
    <xdr:to>
      <xdr:col>4</xdr:col>
      <xdr:colOff>533400</xdr:colOff>
      <xdr:row>27</xdr:row>
      <xdr:rowOff>9525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80A1BC5-C875-4CDF-832E-172A252F5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4772025"/>
          <a:ext cx="12858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10</xdr:col>
      <xdr:colOff>752475</xdr:colOff>
      <xdr:row>41</xdr:row>
      <xdr:rowOff>47066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95038D8-E194-4B4A-B3E8-3EB3B3F1F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715000"/>
          <a:ext cx="6086475" cy="2142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752475</xdr:colOff>
      <xdr:row>34</xdr:row>
      <xdr:rowOff>19050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366043F-1583-4E8E-A727-CE5CA5B0F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96000"/>
          <a:ext cx="7524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2</xdr:col>
      <xdr:colOff>152400</xdr:colOff>
      <xdr:row>45</xdr:row>
      <xdr:rowOff>171450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A1AF358F-9209-4900-9082-EECE2F904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382000"/>
          <a:ext cx="9429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304800</xdr:colOff>
      <xdr:row>52</xdr:row>
      <xdr:rowOff>171450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BA5554F-35F7-400E-84EB-689F27513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715500"/>
          <a:ext cx="10953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60</xdr:row>
      <xdr:rowOff>9525</xdr:rowOff>
    </xdr:from>
    <xdr:to>
      <xdr:col>4</xdr:col>
      <xdr:colOff>685800</xdr:colOff>
      <xdr:row>62</xdr:row>
      <xdr:rowOff>104775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E86F619-E446-45B4-91A9-582B9D669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1439525"/>
          <a:ext cx="14382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75</xdr:row>
      <xdr:rowOff>0</xdr:rowOff>
    </xdr:from>
    <xdr:to>
      <xdr:col>5</xdr:col>
      <xdr:colOff>561975</xdr:colOff>
      <xdr:row>77</xdr:row>
      <xdr:rowOff>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9E4786D-0DF5-4F60-8F74-48C9E831C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335000"/>
          <a:ext cx="13239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7</xdr:col>
      <xdr:colOff>104775</xdr:colOff>
      <xdr:row>82</xdr:row>
      <xdr:rowOff>19050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90204FF-287D-48DB-9918-87391A63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4287500"/>
          <a:ext cx="23907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381000</xdr:colOff>
      <xdr:row>84</xdr:row>
      <xdr:rowOff>9526</xdr:rowOff>
    </xdr:from>
    <xdr:to>
      <xdr:col>12</xdr:col>
      <xdr:colOff>325053</xdr:colOff>
      <xdr:row>96</xdr:row>
      <xdr:rowOff>180976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5B6BE8DB-07ED-45D3-ADD9-A129027CC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5059026"/>
          <a:ext cx="2992053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581025</xdr:colOff>
      <xdr:row>83</xdr:row>
      <xdr:rowOff>180975</xdr:rowOff>
    </xdr:from>
    <xdr:to>
      <xdr:col>8</xdr:col>
      <xdr:colOff>247651</xdr:colOff>
      <xdr:row>96</xdr:row>
      <xdr:rowOff>180975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06FEE6B-7953-4BFA-A51D-B36770E51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7</xdr:col>
      <xdr:colOff>9525</xdr:colOff>
      <xdr:row>101</xdr:row>
      <xdr:rowOff>9525</xdr:rowOff>
    </xdr:from>
    <xdr:to>
      <xdr:col>10</xdr:col>
      <xdr:colOff>342900</xdr:colOff>
      <xdr:row>111</xdr:row>
      <xdr:rowOff>123825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7AAF4B53-9F99-4FE2-92AD-A43AFBB99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8297525"/>
          <a:ext cx="2619375" cy="201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119</xdr:row>
      <xdr:rowOff>9525</xdr:rowOff>
    </xdr:from>
    <xdr:to>
      <xdr:col>6</xdr:col>
      <xdr:colOff>76200</xdr:colOff>
      <xdr:row>121</xdr:row>
      <xdr:rowOff>66675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A0CBC054-353A-4F4B-9A08-E1F919D0A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2679025"/>
          <a:ext cx="23526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124</xdr:row>
      <xdr:rowOff>0</xdr:rowOff>
    </xdr:from>
    <xdr:to>
      <xdr:col>7</xdr:col>
      <xdr:colOff>447675</xdr:colOff>
      <xdr:row>125</xdr:row>
      <xdr:rowOff>57150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357F7C8-B77A-45A3-9B64-F0C44064A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3622000"/>
          <a:ext cx="19716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4</xdr:col>
      <xdr:colOff>333375</xdr:colOff>
      <xdr:row>135</xdr:row>
      <xdr:rowOff>57150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53F2C34-AFD7-4D5E-97EE-EC4B54F8D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25336500"/>
          <a:ext cx="10953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685800</xdr:colOff>
      <xdr:row>136</xdr:row>
      <xdr:rowOff>0</xdr:rowOff>
    </xdr:from>
    <xdr:to>
      <xdr:col>11</xdr:col>
      <xdr:colOff>726605</xdr:colOff>
      <xdr:row>153</xdr:row>
      <xdr:rowOff>47625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8B37A03-92D7-46ED-9050-35FDFF113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5908000"/>
          <a:ext cx="3088805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333374</xdr:colOff>
      <xdr:row>141</xdr:row>
      <xdr:rowOff>85726</xdr:rowOff>
    </xdr:from>
    <xdr:to>
      <xdr:col>7</xdr:col>
      <xdr:colOff>161925</xdr:colOff>
      <xdr:row>153</xdr:row>
      <xdr:rowOff>66676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304A8A6-B57F-4B98-A685-C14F9A8ED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6</xdr:col>
      <xdr:colOff>590550</xdr:colOff>
      <xdr:row>160</xdr:row>
      <xdr:rowOff>95250</xdr:rowOff>
    </xdr:from>
    <xdr:to>
      <xdr:col>9</xdr:col>
      <xdr:colOff>200025</xdr:colOff>
      <xdr:row>162</xdr:row>
      <xdr:rowOff>142875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B824C512-8424-4A6A-A723-2694D49F1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30575250"/>
          <a:ext cx="189547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165</xdr:row>
      <xdr:rowOff>9525</xdr:rowOff>
    </xdr:from>
    <xdr:to>
      <xdr:col>9</xdr:col>
      <xdr:colOff>304800</xdr:colOff>
      <xdr:row>172</xdr:row>
      <xdr:rowOff>123825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58205643-ABF7-4FC3-A7D1-049485B0E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31442025"/>
          <a:ext cx="3343275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175</xdr:row>
      <xdr:rowOff>0</xdr:rowOff>
    </xdr:from>
    <xdr:to>
      <xdr:col>9</xdr:col>
      <xdr:colOff>523875</xdr:colOff>
      <xdr:row>181</xdr:row>
      <xdr:rowOff>133350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C7D26788-03E4-45D6-BCFF-6E577EEF1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3337500"/>
          <a:ext cx="3571875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185</xdr:row>
      <xdr:rowOff>28575</xdr:rowOff>
    </xdr:from>
    <xdr:to>
      <xdr:col>9</xdr:col>
      <xdr:colOff>685800</xdr:colOff>
      <xdr:row>205</xdr:row>
      <xdr:rowOff>76200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8180563-C265-4445-8EAA-3E325F265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35271075"/>
          <a:ext cx="3609975" cy="385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196</xdr:row>
      <xdr:rowOff>9525</xdr:rowOff>
    </xdr:from>
    <xdr:to>
      <xdr:col>4</xdr:col>
      <xdr:colOff>657225</xdr:colOff>
      <xdr:row>205</xdr:row>
      <xdr:rowOff>85725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5ECD023-D175-4B0D-99C0-F6FCC1A23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7347525"/>
          <a:ext cx="3648075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3A96-D343-4A50-BCD7-16C33954937F}">
  <dimension ref="A3:H17"/>
  <sheetViews>
    <sheetView tabSelected="1" workbookViewId="0">
      <selection activeCell="B15" sqref="B15"/>
    </sheetView>
  </sheetViews>
  <sheetFormatPr baseColWidth="10" defaultRowHeight="15" x14ac:dyDescent="0.25"/>
  <cols>
    <col min="1" max="1" width="22.85546875" customWidth="1"/>
    <col min="3" max="3" width="15.28515625" customWidth="1"/>
    <col min="5" max="5" width="17.28515625" customWidth="1"/>
  </cols>
  <sheetData>
    <row r="3" spans="1:8" x14ac:dyDescent="0.25">
      <c r="A3" s="1" t="s">
        <v>13</v>
      </c>
      <c r="E3" s="1" t="s">
        <v>17</v>
      </c>
    </row>
    <row r="4" spans="1:8" x14ac:dyDescent="0.25">
      <c r="A4" t="s">
        <v>1</v>
      </c>
    </row>
    <row r="5" spans="1:8" x14ac:dyDescent="0.25">
      <c r="A5" t="s">
        <v>7</v>
      </c>
      <c r="B5">
        <v>273000</v>
      </c>
      <c r="C5" t="s">
        <v>8</v>
      </c>
      <c r="E5" t="s">
        <v>18</v>
      </c>
      <c r="F5" t="s">
        <v>19</v>
      </c>
    </row>
    <row r="6" spans="1:8" x14ac:dyDescent="0.25">
      <c r="A6" t="s">
        <v>9</v>
      </c>
      <c r="B6">
        <v>250</v>
      </c>
      <c r="C6" t="s">
        <v>11</v>
      </c>
      <c r="E6" t="s">
        <v>20</v>
      </c>
      <c r="F6" t="s">
        <v>21</v>
      </c>
    </row>
    <row r="7" spans="1:8" x14ac:dyDescent="0.25">
      <c r="A7" t="s">
        <v>10</v>
      </c>
      <c r="B7">
        <v>150</v>
      </c>
      <c r="C7" t="s">
        <v>11</v>
      </c>
      <c r="E7" t="s">
        <v>22</v>
      </c>
      <c r="F7">
        <v>1</v>
      </c>
      <c r="G7" t="s">
        <v>23</v>
      </c>
    </row>
    <row r="8" spans="1:8" x14ac:dyDescent="0.25">
      <c r="A8" t="s">
        <v>0</v>
      </c>
      <c r="B8">
        <v>0.55000000000000004</v>
      </c>
      <c r="C8" t="s">
        <v>2</v>
      </c>
      <c r="E8" t="s">
        <v>55</v>
      </c>
      <c r="F8">
        <v>16</v>
      </c>
    </row>
    <row r="9" spans="1:8" x14ac:dyDescent="0.25">
      <c r="A9" t="s">
        <v>3</v>
      </c>
      <c r="B9">
        <v>0.51</v>
      </c>
      <c r="C9" t="s">
        <v>4</v>
      </c>
      <c r="E9" t="s">
        <v>56</v>
      </c>
      <c r="F9">
        <v>0.87</v>
      </c>
      <c r="G9" t="s">
        <v>23</v>
      </c>
    </row>
    <row r="10" spans="1:8" x14ac:dyDescent="0.25">
      <c r="A10" t="s">
        <v>5</v>
      </c>
      <c r="B10">
        <v>7.6600000000000001E-2</v>
      </c>
      <c r="C10" t="s">
        <v>83</v>
      </c>
      <c r="E10" t="s">
        <v>24</v>
      </c>
      <c r="F10" s="2">
        <f>5/8</f>
        <v>0.625</v>
      </c>
      <c r="G10" t="s">
        <v>23</v>
      </c>
    </row>
    <row r="11" spans="1:8" x14ac:dyDescent="0.25">
      <c r="E11" t="s">
        <v>61</v>
      </c>
      <c r="F11">
        <v>2.5</v>
      </c>
      <c r="G11" t="s">
        <v>23</v>
      </c>
      <c r="H11" t="s">
        <v>27</v>
      </c>
    </row>
    <row r="12" spans="1:8" x14ac:dyDescent="0.25">
      <c r="A12" t="s">
        <v>6</v>
      </c>
      <c r="B12">
        <f>+B5*B8*(B6-B7)</f>
        <v>15015000</v>
      </c>
      <c r="C12" t="s">
        <v>12</v>
      </c>
      <c r="E12" t="s">
        <v>25</v>
      </c>
      <c r="F12" t="s">
        <v>26</v>
      </c>
    </row>
    <row r="14" spans="1:8" x14ac:dyDescent="0.25">
      <c r="A14" s="1" t="s">
        <v>14</v>
      </c>
      <c r="E14" s="1" t="s">
        <v>32</v>
      </c>
    </row>
    <row r="15" spans="1:8" x14ac:dyDescent="0.25">
      <c r="A15" t="s">
        <v>15</v>
      </c>
      <c r="B15">
        <v>100</v>
      </c>
      <c r="C15" t="s">
        <v>11</v>
      </c>
      <c r="E15" t="s">
        <v>60</v>
      </c>
      <c r="F15">
        <v>3</v>
      </c>
      <c r="H15" t="s">
        <v>28</v>
      </c>
    </row>
    <row r="16" spans="1:8" x14ac:dyDescent="0.25">
      <c r="A16" t="s">
        <v>16</v>
      </c>
      <c r="B16">
        <v>0.24</v>
      </c>
      <c r="C16" t="s">
        <v>2</v>
      </c>
      <c r="E16" t="s">
        <v>29</v>
      </c>
      <c r="F16">
        <v>4</v>
      </c>
    </row>
    <row r="17" spans="5:7" x14ac:dyDescent="0.25">
      <c r="E17" t="s">
        <v>30</v>
      </c>
      <c r="F17">
        <v>30</v>
      </c>
      <c r="G17" t="s">
        <v>31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318E2-C7DA-479D-AEAA-7632685308D7}">
  <sheetPr>
    <pageSetUpPr fitToPage="1"/>
  </sheetPr>
  <dimension ref="A1:J195"/>
  <sheetViews>
    <sheetView workbookViewId="0">
      <selection activeCell="B5" sqref="B5"/>
    </sheetView>
  </sheetViews>
  <sheetFormatPr baseColWidth="10" defaultRowHeight="15" x14ac:dyDescent="0.25"/>
  <cols>
    <col min="2" max="2" width="11.85546875" bestFit="1" customWidth="1"/>
  </cols>
  <sheetData>
    <row r="1" spans="1:3" x14ac:dyDescent="0.25">
      <c r="A1" s="1" t="s">
        <v>34</v>
      </c>
    </row>
    <row r="3" spans="1:3" x14ac:dyDescent="0.25">
      <c r="A3" t="s">
        <v>33</v>
      </c>
    </row>
    <row r="5" spans="1:3" x14ac:dyDescent="0.25">
      <c r="A5" t="s">
        <v>35</v>
      </c>
      <c r="B5">
        <v>4.2</v>
      </c>
    </row>
    <row r="7" spans="1:3" x14ac:dyDescent="0.25">
      <c r="A7" s="1" t="s">
        <v>36</v>
      </c>
    </row>
    <row r="10" spans="1:3" x14ac:dyDescent="0.25">
      <c r="A10" t="s">
        <v>41</v>
      </c>
      <c r="B10" s="4">
        <f>((B5+1)/10)*((Datos!B6+Datos!B7)/2-100)</f>
        <v>52</v>
      </c>
      <c r="C10" t="s">
        <v>11</v>
      </c>
    </row>
    <row r="13" spans="1:3" x14ac:dyDescent="0.25">
      <c r="A13" t="s">
        <v>37</v>
      </c>
      <c r="B13" s="4">
        <f>+Datos!B15+Cálculos!B10</f>
        <v>152</v>
      </c>
      <c r="C13" t="s">
        <v>11</v>
      </c>
    </row>
    <row r="17" spans="1:7" x14ac:dyDescent="0.25">
      <c r="A17" s="1" t="s">
        <v>38</v>
      </c>
      <c r="C17">
        <f>Datos!B6</f>
        <v>250</v>
      </c>
    </row>
    <row r="19" spans="1:7" x14ac:dyDescent="0.25">
      <c r="A19" t="s">
        <v>39</v>
      </c>
      <c r="B19" s="3">
        <f>+((C17-C20)-(G19-G21))/LN((C17-C20)/(G19-G21))</f>
        <v>71.328321887723078</v>
      </c>
      <c r="C19" t="s">
        <v>11</v>
      </c>
      <c r="G19">
        <f>+Datos!B7</f>
        <v>150</v>
      </c>
    </row>
    <row r="20" spans="1:7" x14ac:dyDescent="0.25">
      <c r="C20">
        <f>+B13</f>
        <v>152</v>
      </c>
    </row>
    <row r="21" spans="1:7" x14ac:dyDescent="0.25">
      <c r="G21">
        <f>+Datos!B15</f>
        <v>100</v>
      </c>
    </row>
    <row r="25" spans="1:7" x14ac:dyDescent="0.25">
      <c r="A25" s="1" t="s">
        <v>40</v>
      </c>
    </row>
    <row r="27" spans="1:7" x14ac:dyDescent="0.25">
      <c r="A27" t="s">
        <v>42</v>
      </c>
      <c r="B27" s="5">
        <f>Datos!B12/(Cálculos!B5*Cálculos!B19)</f>
        <v>50120.343580034838</v>
      </c>
      <c r="C27" t="s">
        <v>58</v>
      </c>
    </row>
    <row r="29" spans="1:7" x14ac:dyDescent="0.25">
      <c r="A29" s="1" t="s">
        <v>45</v>
      </c>
    </row>
    <row r="31" spans="1:7" x14ac:dyDescent="0.25">
      <c r="A31" t="s">
        <v>44</v>
      </c>
      <c r="B31">
        <v>107.2</v>
      </c>
    </row>
    <row r="37" spans="1:3" x14ac:dyDescent="0.25">
      <c r="A37" t="s">
        <v>43</v>
      </c>
      <c r="B37" s="6">
        <f>+B27/B31</f>
        <v>467.54051847047424</v>
      </c>
    </row>
    <row r="43" spans="1:3" x14ac:dyDescent="0.25">
      <c r="A43" s="1" t="s">
        <v>46</v>
      </c>
    </row>
    <row r="48" spans="1:3" x14ac:dyDescent="0.25">
      <c r="A48" t="s">
        <v>47</v>
      </c>
      <c r="B48" s="3">
        <f>B37/Datos!F17</f>
        <v>15.584683949015808</v>
      </c>
      <c r="C48" t="s">
        <v>31</v>
      </c>
    </row>
    <row r="50" spans="1:10" x14ac:dyDescent="0.25">
      <c r="A50" s="1" t="s">
        <v>48</v>
      </c>
    </row>
    <row r="55" spans="1:10" x14ac:dyDescent="0.25">
      <c r="A55" t="s">
        <v>49</v>
      </c>
      <c r="B55">
        <v>5.58</v>
      </c>
      <c r="C55" t="s">
        <v>50</v>
      </c>
    </row>
    <row r="57" spans="1:10" x14ac:dyDescent="0.25">
      <c r="A57" t="s">
        <v>51</v>
      </c>
      <c r="B57" s="6">
        <f>B27/(B55*Datos!F17)</f>
        <v>299.404680884318</v>
      </c>
      <c r="C57" t="s">
        <v>52</v>
      </c>
    </row>
    <row r="59" spans="1:10" x14ac:dyDescent="0.25">
      <c r="A59" s="1" t="s">
        <v>53</v>
      </c>
    </row>
    <row r="61" spans="1:10" x14ac:dyDescent="0.25">
      <c r="A61" t="s">
        <v>54</v>
      </c>
      <c r="B61" s="7">
        <f>+PI()*Datos!F9^2/4</f>
        <v>0.59446786987552858</v>
      </c>
      <c r="C61" t="s">
        <v>57</v>
      </c>
      <c r="F61" t="s">
        <v>82</v>
      </c>
      <c r="G61">
        <f>+PI()*((Datos!F9/12)^2/4)*Cálculos!B57/Datos!F15</f>
        <v>0.41200570110199747</v>
      </c>
      <c r="H61" t="s">
        <v>58</v>
      </c>
      <c r="I61" t="s">
        <v>85</v>
      </c>
    </row>
    <row r="63" spans="1:10" x14ac:dyDescent="0.25">
      <c r="A63" t="s">
        <v>59</v>
      </c>
      <c r="B63" s="6">
        <f>+(144*Datos!B5*Datos!F15)/(3600*Cálculos!B57*Cálculos!B61)</f>
        <v>184.05894173430329</v>
      </c>
      <c r="C63" t="s">
        <v>62</v>
      </c>
      <c r="F63" t="s">
        <v>59</v>
      </c>
      <c r="G63">
        <f>+Datos!B5/Cálculos!G61</f>
        <v>662612.1902434919</v>
      </c>
      <c r="H63" t="s">
        <v>84</v>
      </c>
      <c r="I63" s="5">
        <f>+G63/3600</f>
        <v>184.05894173430332</v>
      </c>
      <c r="J63" t="s">
        <v>91</v>
      </c>
    </row>
    <row r="65" spans="1:10" x14ac:dyDescent="0.25">
      <c r="A65" s="1" t="s">
        <v>63</v>
      </c>
    </row>
    <row r="67" spans="1:10" x14ac:dyDescent="0.25">
      <c r="A67" t="s">
        <v>64</v>
      </c>
      <c r="B67" s="6">
        <f>+B63*(Datos!F9)/(Datos!B9)</f>
        <v>313.98290060557616</v>
      </c>
      <c r="E67" t="s">
        <v>65</v>
      </c>
      <c r="G67">
        <f>+G63*(Datos!F9/12)/(Datos!B9*2.42)</f>
        <v>38923.500075071432</v>
      </c>
      <c r="J67">
        <f>(0.12/Datos!B10)^3</f>
        <v>3.8446554847828436</v>
      </c>
    </row>
    <row r="69" spans="1:10" x14ac:dyDescent="0.25">
      <c r="A69" t="s">
        <v>80</v>
      </c>
      <c r="B69" s="10">
        <f>Datos!B8*Datos!B9*2.42/Datos!B10</f>
        <v>8.8617493472584865</v>
      </c>
      <c r="E69" t="s">
        <v>81</v>
      </c>
    </row>
    <row r="71" spans="1:10" x14ac:dyDescent="0.25">
      <c r="A71" t="s">
        <v>66</v>
      </c>
      <c r="B71" s="3">
        <f>0.027*(Datos!B10/(Datos!F9/12))*(G67^0.8)*(J67^0.33)</f>
        <v>209.13512853929348</v>
      </c>
    </row>
    <row r="74" spans="1:10" x14ac:dyDescent="0.25">
      <c r="A74" s="1" t="s">
        <v>67</v>
      </c>
    </row>
    <row r="76" spans="1:10" x14ac:dyDescent="0.25">
      <c r="A76" t="s">
        <v>68</v>
      </c>
      <c r="B76" s="4">
        <f>Datos!B12/(0.24*Cálculos!B10)</f>
        <v>1203125</v>
      </c>
      <c r="C76" t="s">
        <v>8</v>
      </c>
    </row>
    <row r="79" spans="1:10" x14ac:dyDescent="0.25">
      <c r="A79" s="1" t="s">
        <v>69</v>
      </c>
    </row>
    <row r="81" spans="1:3" x14ac:dyDescent="0.25">
      <c r="A81" t="s">
        <v>70</v>
      </c>
      <c r="B81" s="6">
        <f>+B76/B37</f>
        <v>2573.3063819493941</v>
      </c>
      <c r="C81" t="s">
        <v>71</v>
      </c>
    </row>
    <row r="84" spans="1:3" x14ac:dyDescent="0.25">
      <c r="A84" s="1" t="s">
        <v>72</v>
      </c>
    </row>
    <row r="86" spans="1:3" x14ac:dyDescent="0.25">
      <c r="A86" s="9" t="s">
        <v>70</v>
      </c>
      <c r="B86" s="9" t="s">
        <v>73</v>
      </c>
    </row>
    <row r="87" spans="1:3" x14ac:dyDescent="0.25">
      <c r="A87">
        <v>1500</v>
      </c>
      <c r="B87">
        <v>6.4</v>
      </c>
    </row>
    <row r="88" spans="1:3" x14ac:dyDescent="0.25">
      <c r="A88">
        <v>2000</v>
      </c>
      <c r="B88">
        <v>7.4</v>
      </c>
    </row>
    <row r="89" spans="1:3" x14ac:dyDescent="0.25">
      <c r="A89">
        <v>3000</v>
      </c>
      <c r="B89">
        <v>9.1999999999999993</v>
      </c>
    </row>
    <row r="90" spans="1:3" x14ac:dyDescent="0.25">
      <c r="A90">
        <v>3400</v>
      </c>
      <c r="B90">
        <v>10</v>
      </c>
    </row>
    <row r="93" spans="1:3" x14ac:dyDescent="0.25">
      <c r="A93" t="s">
        <v>73</v>
      </c>
      <c r="B93" s="10">
        <f>0.0019*B81+3.6111</f>
        <v>8.5003821257038492</v>
      </c>
      <c r="C93" t="s">
        <v>74</v>
      </c>
    </row>
    <row r="101" spans="1:4" x14ac:dyDescent="0.25">
      <c r="A101" s="1" t="s">
        <v>75</v>
      </c>
    </row>
    <row r="103" spans="1:4" x14ac:dyDescent="0.25">
      <c r="A103" t="s">
        <v>87</v>
      </c>
      <c r="B103">
        <v>1E-3</v>
      </c>
      <c r="D103" t="s">
        <v>90</v>
      </c>
    </row>
    <row r="105" spans="1:4" x14ac:dyDescent="0.25">
      <c r="A105" t="s">
        <v>88</v>
      </c>
      <c r="B105">
        <v>0</v>
      </c>
      <c r="D105" t="s">
        <v>89</v>
      </c>
    </row>
    <row r="107" spans="1:4" x14ac:dyDescent="0.25">
      <c r="A107" t="s">
        <v>77</v>
      </c>
      <c r="B107">
        <v>21.4</v>
      </c>
      <c r="C107" t="s">
        <v>78</v>
      </c>
    </row>
    <row r="108" spans="1:4" x14ac:dyDescent="0.25">
      <c r="C108" t="s">
        <v>79</v>
      </c>
    </row>
    <row r="109" spans="1:4" x14ac:dyDescent="0.25">
      <c r="A109" t="s">
        <v>76</v>
      </c>
      <c r="B109" s="3">
        <f>+B107*Datos!F7/Datos!F9</f>
        <v>24.597701149425287</v>
      </c>
    </row>
    <row r="111" spans="1:4" x14ac:dyDescent="0.25">
      <c r="A111" t="s">
        <v>86</v>
      </c>
      <c r="B111" s="4">
        <f>(1/B71)*(B109)+E101*B109+E99+1/B93</f>
        <v>0.23525807553032851</v>
      </c>
    </row>
    <row r="113" spans="1:6" x14ac:dyDescent="0.25">
      <c r="A113" t="s">
        <v>35</v>
      </c>
      <c r="B113" s="3">
        <f>1/B111</f>
        <v>4.2506511104698896</v>
      </c>
    </row>
    <row r="116" spans="1:6" x14ac:dyDescent="0.25">
      <c r="A116" s="1" t="s">
        <v>92</v>
      </c>
    </row>
    <row r="118" spans="1:6" x14ac:dyDescent="0.25">
      <c r="A118" t="s">
        <v>97</v>
      </c>
      <c r="B118">
        <v>2</v>
      </c>
      <c r="D118" t="s">
        <v>94</v>
      </c>
      <c r="F118" t="s">
        <v>95</v>
      </c>
    </row>
    <row r="120" spans="1:6" x14ac:dyDescent="0.25">
      <c r="A120" t="s">
        <v>93</v>
      </c>
      <c r="B120" s="6">
        <f>0.4*B37/B118</f>
        <v>93.508103694094856</v>
      </c>
    </row>
    <row r="123" spans="1:6" x14ac:dyDescent="0.25">
      <c r="A123" s="1" t="s">
        <v>100</v>
      </c>
    </row>
    <row r="125" spans="1:6" x14ac:dyDescent="0.25">
      <c r="A125" t="s">
        <v>98</v>
      </c>
      <c r="B125" s="10">
        <f>+(4*B120/PI())^0.5</f>
        <v>10.911380085787394</v>
      </c>
      <c r="D125" t="s">
        <v>96</v>
      </c>
    </row>
    <row r="127" spans="1:6" x14ac:dyDescent="0.25">
      <c r="A127" t="s">
        <v>98</v>
      </c>
      <c r="B127" s="4">
        <f>ROUNDUP(B125,0)</f>
        <v>11</v>
      </c>
      <c r="C127" t="s">
        <v>31</v>
      </c>
      <c r="D127" t="s">
        <v>99</v>
      </c>
    </row>
    <row r="130" spans="1:7" x14ac:dyDescent="0.25">
      <c r="A130" s="1" t="s">
        <v>101</v>
      </c>
    </row>
    <row r="132" spans="1:7" x14ac:dyDescent="0.25">
      <c r="A132" t="s">
        <v>102</v>
      </c>
      <c r="B132">
        <f>+(Datos!B15+Cálculos!B13)/2</f>
        <v>126</v>
      </c>
      <c r="C132" t="s">
        <v>11</v>
      </c>
      <c r="F132" t="s">
        <v>70</v>
      </c>
      <c r="G132" t="s">
        <v>104</v>
      </c>
    </row>
    <row r="133" spans="1:7" x14ac:dyDescent="0.25">
      <c r="F133">
        <v>500</v>
      </c>
      <c r="G133">
        <v>3.5000000000000003E-2</v>
      </c>
    </row>
    <row r="134" spans="1:7" x14ac:dyDescent="0.25">
      <c r="A134" t="s">
        <v>104</v>
      </c>
      <c r="B134" s="10">
        <f>0.00004*B81+0.0036</f>
        <v>0.10653225527797577</v>
      </c>
      <c r="F134">
        <v>2000</v>
      </c>
      <c r="G134">
        <v>6.8000000000000005E-2</v>
      </c>
    </row>
    <row r="135" spans="1:7" x14ac:dyDescent="0.25">
      <c r="F135">
        <v>3000</v>
      </c>
      <c r="G135">
        <v>0.13</v>
      </c>
    </row>
    <row r="136" spans="1:7" x14ac:dyDescent="0.25">
      <c r="F136">
        <v>3400</v>
      </c>
      <c r="G136">
        <v>0.16</v>
      </c>
    </row>
    <row r="138" spans="1:7" x14ac:dyDescent="0.25">
      <c r="A138" t="s">
        <v>105</v>
      </c>
      <c r="B138">
        <v>1</v>
      </c>
      <c r="D138" t="s">
        <v>106</v>
      </c>
    </row>
    <row r="140" spans="1:7" x14ac:dyDescent="0.25">
      <c r="A140" t="s">
        <v>103</v>
      </c>
      <c r="B140" s="11">
        <f>+B134*Datos!F16/Cálculos!B138</f>
        <v>0.42612902111190309</v>
      </c>
      <c r="C140" t="s">
        <v>107</v>
      </c>
    </row>
    <row r="159" spans="1:1" x14ac:dyDescent="0.25">
      <c r="A159" s="1" t="s">
        <v>108</v>
      </c>
    </row>
    <row r="162" spans="1:4" x14ac:dyDescent="0.25">
      <c r="A162" t="s">
        <v>109</v>
      </c>
      <c r="B162" s="6">
        <f>B76/(B138*60*0.0749)</f>
        <v>267718.06853582559</v>
      </c>
      <c r="C162" t="s">
        <v>110</v>
      </c>
      <c r="D162" t="s">
        <v>112</v>
      </c>
    </row>
    <row r="164" spans="1:4" x14ac:dyDescent="0.25">
      <c r="B164" s="6">
        <f>+B162/B118</f>
        <v>133859.03426791279</v>
      </c>
      <c r="C164" t="s">
        <v>110</v>
      </c>
      <c r="D164" t="s">
        <v>111</v>
      </c>
    </row>
    <row r="166" spans="1:4" x14ac:dyDescent="0.25">
      <c r="A166" s="1" t="s">
        <v>115</v>
      </c>
    </row>
    <row r="168" spans="1:4" x14ac:dyDescent="0.25">
      <c r="A168" t="s">
        <v>113</v>
      </c>
      <c r="B168" s="10">
        <f>+B140+((B164/(4005*(PI()*B127^2/4)))^2)*B138</f>
        <v>0.54982051383758324</v>
      </c>
      <c r="C168" t="s">
        <v>107</v>
      </c>
      <c r="D168" t="s">
        <v>111</v>
      </c>
    </row>
    <row r="175" spans="1:4" x14ac:dyDescent="0.25">
      <c r="A175" s="1" t="s">
        <v>114</v>
      </c>
    </row>
    <row r="177" spans="1:5" x14ac:dyDescent="0.25">
      <c r="A177" t="s">
        <v>116</v>
      </c>
      <c r="B177" s="6">
        <f>B164*B168/(6356*0.7)</f>
        <v>16.541949789397304</v>
      </c>
    </row>
    <row r="179" spans="1:5" x14ac:dyDescent="0.25">
      <c r="A179" t="s">
        <v>117</v>
      </c>
    </row>
    <row r="181" spans="1:5" x14ac:dyDescent="0.25">
      <c r="A181" t="s">
        <v>116</v>
      </c>
      <c r="B181" s="6">
        <f>B177/0.9</f>
        <v>18.379944210441447</v>
      </c>
    </row>
    <row r="183" spans="1:5" x14ac:dyDescent="0.25">
      <c r="B183">
        <v>20</v>
      </c>
      <c r="C183" t="s">
        <v>118</v>
      </c>
    </row>
    <row r="185" spans="1:5" x14ac:dyDescent="0.25">
      <c r="A185" s="1" t="s">
        <v>119</v>
      </c>
    </row>
    <row r="187" spans="1:5" x14ac:dyDescent="0.25">
      <c r="A187" s="1" t="s">
        <v>47</v>
      </c>
      <c r="D187" s="8">
        <f>+Cálculos!B48</f>
        <v>15.584683949015808</v>
      </c>
      <c r="E187" t="s">
        <v>31</v>
      </c>
    </row>
    <row r="188" spans="1:5" x14ac:dyDescent="0.25">
      <c r="A188" s="1" t="s">
        <v>120</v>
      </c>
      <c r="D188">
        <f>+Datos!F17</f>
        <v>30</v>
      </c>
      <c r="E188" t="s">
        <v>31</v>
      </c>
    </row>
    <row r="189" spans="1:5" x14ac:dyDescent="0.25">
      <c r="A189" s="1" t="s">
        <v>121</v>
      </c>
      <c r="D189" s="8">
        <f>+D187*D188</f>
        <v>467.54051847047424</v>
      </c>
      <c r="E189" t="s">
        <v>58</v>
      </c>
    </row>
    <row r="190" spans="1:5" x14ac:dyDescent="0.25">
      <c r="A190" s="1" t="s">
        <v>123</v>
      </c>
      <c r="D190">
        <f>+B31</f>
        <v>107.2</v>
      </c>
    </row>
    <row r="191" spans="1:5" x14ac:dyDescent="0.25">
      <c r="A191" s="1" t="s">
        <v>122</v>
      </c>
      <c r="D191" s="5">
        <f>+D189*D190</f>
        <v>50120.343580034838</v>
      </c>
      <c r="E191" t="s">
        <v>58</v>
      </c>
    </row>
    <row r="192" spans="1:5" x14ac:dyDescent="0.25">
      <c r="A192" s="1"/>
    </row>
    <row r="193" spans="1:5" x14ac:dyDescent="0.25">
      <c r="A193" s="1" t="s">
        <v>124</v>
      </c>
      <c r="D193">
        <f>+B118</f>
        <v>2</v>
      </c>
    </row>
    <row r="194" spans="1:5" x14ac:dyDescent="0.25">
      <c r="A194" s="1" t="s">
        <v>125</v>
      </c>
      <c r="D194">
        <f>+B127</f>
        <v>11</v>
      </c>
      <c r="E194" t="s">
        <v>31</v>
      </c>
    </row>
    <row r="195" spans="1:5" x14ac:dyDescent="0.25">
      <c r="A195" s="1" t="s">
        <v>116</v>
      </c>
      <c r="D195">
        <f>+B183</f>
        <v>20</v>
      </c>
    </row>
  </sheetData>
  <pageMargins left="0.7" right="0.7" top="0.75" bottom="0.75" header="0.3" footer="0.3"/>
  <pageSetup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Cálculos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cp:lastPrinted>2017-11-02T15:15:55Z</cp:lastPrinted>
  <dcterms:created xsi:type="dcterms:W3CDTF">2017-10-31T13:35:25Z</dcterms:created>
  <dcterms:modified xsi:type="dcterms:W3CDTF">2017-11-06T23:48:52Z</dcterms:modified>
</cp:coreProperties>
</file>